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OIM\אתר חדש\"/>
    </mc:Choice>
  </mc:AlternateContent>
  <xr:revisionPtr revIDLastSave="0" documentId="8_{AC091993-C45E-4523-A148-335B744735A3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בריטניה" sheetId="1" r:id="rId1"/>
    <sheet name="ספרד" sheetId="2" r:id="rId2"/>
    <sheet name="הודו" sheetId="4" r:id="rId3"/>
    <sheet name="מרוקו" sheetId="5" r:id="rId4"/>
    <sheet name="ארה&quot;ב" sheetId="3" r:id="rId5"/>
    <sheet name="ויטנאם וסינגפור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3" l="1"/>
  <c r="F31" i="3"/>
  <c r="F29" i="3"/>
  <c r="F28" i="3"/>
  <c r="F25" i="3"/>
  <c r="F15" i="3"/>
  <c r="F14" i="3"/>
  <c r="F13" i="3"/>
  <c r="F12" i="3"/>
  <c r="F9" i="3"/>
  <c r="F8" i="3"/>
  <c r="F7" i="3"/>
  <c r="F6" i="3"/>
  <c r="F26" i="5"/>
  <c r="F23" i="5"/>
  <c r="F21" i="5"/>
  <c r="F17" i="5"/>
  <c r="F16" i="5"/>
  <c r="F8" i="5"/>
  <c r="F7" i="5"/>
  <c r="F6" i="5"/>
  <c r="F36" i="4"/>
  <c r="F33" i="4"/>
  <c r="F31" i="4"/>
  <c r="F30" i="4"/>
  <c r="F27" i="4"/>
  <c r="F26" i="4"/>
  <c r="F21" i="4"/>
  <c r="F20" i="4"/>
  <c r="F28" i="4" s="1"/>
  <c r="F12" i="4"/>
  <c r="F11" i="4"/>
  <c r="F10" i="4"/>
  <c r="F9" i="4"/>
  <c r="F8" i="4"/>
  <c r="F7" i="4"/>
  <c r="F6" i="4"/>
  <c r="F5" i="4"/>
  <c r="F15" i="2"/>
  <c r="F9" i="2"/>
  <c r="F7" i="2"/>
  <c r="F6" i="2"/>
  <c r="F5" i="2"/>
  <c r="F16" i="1"/>
  <c r="F17" i="1" s="1"/>
  <c r="B43" i="7" l="1"/>
  <c r="B31" i="7"/>
  <c r="B41" i="7" s="1"/>
  <c r="B26" i="7"/>
  <c r="B24" i="7"/>
  <c r="B19" i="7"/>
  <c r="B18" i="7"/>
  <c r="B15" i="7"/>
  <c r="B12" i="7"/>
  <c r="B20" i="7" s="1"/>
  <c r="B7" i="7"/>
</calcChain>
</file>

<file path=xl/sharedStrings.xml><?xml version="1.0" encoding="utf-8"?>
<sst xmlns="http://schemas.openxmlformats.org/spreadsheetml/2006/main" count="216" uniqueCount="142">
  <si>
    <t>פריט</t>
  </si>
  <si>
    <t>עלות - בשקלים</t>
  </si>
  <si>
    <t xml:space="preserve">הערות </t>
  </si>
  <si>
    <t>כ"ט השר ניר ברקת</t>
  </si>
  <si>
    <t xml:space="preserve">עלות הטיסות בסך 6,466.92 ₪ שולמה על ידי השר. </t>
  </si>
  <si>
    <t>שירות VIP נתב"ג</t>
  </si>
  <si>
    <t>סה"כ אמסלם תיירות ונופש</t>
  </si>
  <si>
    <t>משרד רוה"מ (אבטחה)</t>
  </si>
  <si>
    <t xml:space="preserve">עלויות אבטחת השר ללונדון </t>
  </si>
  <si>
    <t>רכבים</t>
  </si>
  <si>
    <t xml:space="preserve">לינה </t>
  </si>
  <si>
    <t>סה"כ משרד החוץ (GBP)</t>
  </si>
  <si>
    <t>אמסלם תיירות ונופש</t>
  </si>
  <si>
    <t xml:space="preserve">עלות </t>
  </si>
  <si>
    <t xml:space="preserve">עלות הטיסות בסך 7,941.74 ₪ שולמה על ידי השר. </t>
  </si>
  <si>
    <t xml:space="preserve">עלויות אבטחת השר לספרד </t>
  </si>
  <si>
    <t>לינה</t>
  </si>
  <si>
    <t>סה"כ משרד החוץ (EUR)</t>
  </si>
  <si>
    <t>עלות</t>
  </si>
  <si>
    <t>הקרן הפנימית</t>
  </si>
  <si>
    <t>סה"כ הקרן הפנימית</t>
  </si>
  <si>
    <t>משרד רוה"מ (עלויות אבטחה)</t>
  </si>
  <si>
    <t>עלויות אבטחת השר לארה"ב</t>
  </si>
  <si>
    <t>צלם</t>
  </si>
  <si>
    <t>סה"כ משרד החוץ (USD)</t>
  </si>
  <si>
    <t xml:space="preserve">עלויות אבטחה שר הכלכלה להודו </t>
  </si>
  <si>
    <t>ניו יורק</t>
  </si>
  <si>
    <t>בוסטון</t>
  </si>
  <si>
    <t>ניו דלהי</t>
  </si>
  <si>
    <t>משרד החוץ (הוצאות בפועל במט"מ GBP)</t>
  </si>
  <si>
    <t>משרד החוץ (הוצאות בפועל במט"מ EUR)</t>
  </si>
  <si>
    <t>משרד החוץ (הוצאות בפועל במט"מ USD)</t>
  </si>
  <si>
    <t>משרד החוץ (הוצאות בפועל במט"מ INR)</t>
  </si>
  <si>
    <t>עלויות אבטחת השר למרוקו</t>
  </si>
  <si>
    <t xml:space="preserve">כ"ט השר ניר ברקת </t>
  </si>
  <si>
    <t xml:space="preserve">עלות הטיסות בסך 17,802.70 ₪ שולמה על ידי השר. </t>
  </si>
  <si>
    <t>עלויות אבטחת השר לויטנאם וסינגפור</t>
  </si>
  <si>
    <t>משרד החוץ (הוצאות בפועל במט"מ SGD)</t>
  </si>
  <si>
    <t>סינגפור</t>
  </si>
  <si>
    <t>מומבאי</t>
  </si>
  <si>
    <t>ויטנאם (הוצאות בפועל במט"מ VND)</t>
  </si>
  <si>
    <t>ליווי משטרתי</t>
  </si>
  <si>
    <t>משרד החוץ (הוצאות בפועל במט"מ MAD)</t>
  </si>
  <si>
    <t>שירות VIP שדה תעופה ברצלונה</t>
  </si>
  <si>
    <t>סה"כ סינגפור</t>
  </si>
  <si>
    <t>כרטיסי טיסה</t>
  </si>
  <si>
    <t>כרטיסי טיסה מאבטחים</t>
  </si>
  <si>
    <t>כרטיסי טיסה - מאבטחים</t>
  </si>
  <si>
    <t>סה"כ משרד החוץ (₪)</t>
  </si>
  <si>
    <t xml:space="preserve">סה"כ משרד החוץ </t>
  </si>
  <si>
    <t xml:space="preserve">סה"כ משרד החוץ (₪) </t>
  </si>
  <si>
    <t xml:space="preserve">סה"כ סינגפור (₪) </t>
  </si>
  <si>
    <t xml:space="preserve">סה"כ ויטנאם (₪) </t>
  </si>
  <si>
    <t>ויטנאם וסינגפור</t>
  </si>
  <si>
    <t>לא כולל מאבטחים</t>
  </si>
  <si>
    <t>שירות VIP סינגפור</t>
  </si>
  <si>
    <t>סיכות דש</t>
  </si>
  <si>
    <t>ארוחת צהריים</t>
  </si>
  <si>
    <t>שעות נוספות</t>
  </si>
  <si>
    <t>השכרת אולם</t>
  </si>
  <si>
    <t xml:space="preserve">לינה האנוי </t>
  </si>
  <si>
    <t>חדר ישיבות במלון בהאנוי</t>
  </si>
  <si>
    <t>מתורגמן האנוי</t>
  </si>
  <si>
    <t xml:space="preserve">צלם האנוי </t>
  </si>
  <si>
    <t>מתורגמן הו צ'י מין סיטי</t>
  </si>
  <si>
    <t>צלם הו צ'י מין סיטי</t>
  </si>
  <si>
    <t>ארוחת צהריים עסקית</t>
  </si>
  <si>
    <t>לינה הו צ'י מין סיטי</t>
  </si>
  <si>
    <t>חדר ישיבות במלון הו צ'י מין סיטי</t>
  </si>
  <si>
    <t>אבטחה מקומית - נוכח לילה</t>
  </si>
  <si>
    <t xml:space="preserve">דואר דיפלומטי </t>
  </si>
  <si>
    <t>חדר במלון האנוי תדרוך ומסיבת עיתונאים</t>
  </si>
  <si>
    <t>כרטיסי סים ליח' מגן</t>
  </si>
  <si>
    <t>שעות נוספות שגרירות</t>
  </si>
  <si>
    <t>ציוד משרדי</t>
  </si>
  <si>
    <t xml:space="preserve">רכבים אבטחה </t>
  </si>
  <si>
    <t>סה"כ ויאטנם (VND)</t>
  </si>
  <si>
    <t xml:space="preserve">ארוחות וכיבוד </t>
  </si>
  <si>
    <t xml:space="preserve">רכבים </t>
  </si>
  <si>
    <t>זרי פרחים לטקס</t>
  </si>
  <si>
    <t>מתורגמן</t>
  </si>
  <si>
    <t xml:space="preserve">בקבוקי מים וסנדוויצ'ים </t>
  </si>
  <si>
    <t>ארוחת צהריים נציגי הארגונים הכלכליים</t>
  </si>
  <si>
    <t xml:space="preserve">קבלת פנים בביתן הישראלי בתערוכה </t>
  </si>
  <si>
    <t xml:space="preserve">שירותי ניקוי יבש </t>
  </si>
  <si>
    <t>שעות נוספות לעובדי הקונסוליה</t>
  </si>
  <si>
    <t xml:space="preserve">נוכח לילה ואגרת נשק </t>
  </si>
  <si>
    <t>פרחים לאירוע</t>
  </si>
  <si>
    <t>חדר פגישות במלון</t>
  </si>
  <si>
    <t>בקבוקי מים</t>
  </si>
  <si>
    <t xml:space="preserve">סה"כ מומבאי (INR) </t>
  </si>
  <si>
    <t>מדבקות נגד דנגי</t>
  </si>
  <si>
    <t>ביקור איפטאר בבית השגריר</t>
  </si>
  <si>
    <t>דפי הדפסה מיוחדים</t>
  </si>
  <si>
    <t>כרטיסי ביקור לשר</t>
  </si>
  <si>
    <t>אירוע כלכלי באולם</t>
  </si>
  <si>
    <t xml:space="preserve">שימוש במרכז עסקים במלון </t>
  </si>
  <si>
    <t xml:space="preserve">שימוש בחדר ישיבות במלון </t>
  </si>
  <si>
    <t>ארוחת בוקר בכירים ואנשי ממשל</t>
  </si>
  <si>
    <t xml:space="preserve">סה"כ דלהי (INR) </t>
  </si>
  <si>
    <t xml:space="preserve">חדר ישיבות </t>
  </si>
  <si>
    <t>סה"כ בוסטון (USD)</t>
  </si>
  <si>
    <t>רכבת</t>
  </si>
  <si>
    <t>שירות VIP</t>
  </si>
  <si>
    <t>לינת מאבטח</t>
  </si>
  <si>
    <t>סה"כ ניו יורק (USD)</t>
  </si>
  <si>
    <t>כרטיסי טיסה הדר אבו</t>
  </si>
  <si>
    <t>כרטיסי טיסה אוהד כהן</t>
  </si>
  <si>
    <t>כרטיסי טיסה צחי דבוש</t>
  </si>
  <si>
    <t>כרטיסי טיסה מוטי גמיש</t>
  </si>
  <si>
    <t>כרטיסי טיסה הדר שור</t>
  </si>
  <si>
    <t>כרטיסי טיסה ניצן קרסנטי</t>
  </si>
  <si>
    <t>כרטיסי טיסה אמנון מרחב</t>
  </si>
  <si>
    <t>כרטיס טיסה הדר אבו</t>
  </si>
  <si>
    <t xml:space="preserve">כרטיס טיסה צחי דבוש </t>
  </si>
  <si>
    <t>כרטיס טיסה אוהד כהן</t>
  </si>
  <si>
    <t>כרטיס טיסה השר ניר ברקת</t>
  </si>
  <si>
    <t>כרטיסי טיסה יוגב מאושר</t>
  </si>
  <si>
    <t>עלות הטיסה בסך 14,770.23 ₪  שולמה ע"י השר</t>
  </si>
  <si>
    <t>עלות הטיסה בסך 6,284.66 ₪ שולמה ע"י השר</t>
  </si>
  <si>
    <t>עלות הטיסה הלוך חזור בסך 29,708.35 ₪ שולמה על ידי השר</t>
  </si>
  <si>
    <t>כרטיסי טיסה משי סינואני</t>
  </si>
  <si>
    <t>כרטיסי טיסה חן פרץ</t>
  </si>
  <si>
    <t xml:space="preserve">כרטיסי טיסה מאבטחים </t>
  </si>
  <si>
    <t>כרטיסי טיסה נתן צרור</t>
  </si>
  <si>
    <t>לינה בניו יורק הדר אבו</t>
  </si>
  <si>
    <t>לינה בניו יורק מוטי גמיש</t>
  </si>
  <si>
    <t>לינה בניו יורק צחי דבוש</t>
  </si>
  <si>
    <t>לינה בניו יורק נתן צרור</t>
  </si>
  <si>
    <t>לינה בניו יורק מאבטחים</t>
  </si>
  <si>
    <t>כרטיס טיסת פנים השר ניר ברקת</t>
  </si>
  <si>
    <t xml:space="preserve">סה"כ ניו יורק (₪) </t>
  </si>
  <si>
    <t xml:space="preserve">סה"כ בוסטון (₪) </t>
  </si>
  <si>
    <t>בריטניה</t>
  </si>
  <si>
    <t>ספרד</t>
  </si>
  <si>
    <t>הודו</t>
  </si>
  <si>
    <t>מרוקו</t>
  </si>
  <si>
    <t>ארה"ב (יוני)</t>
  </si>
  <si>
    <t>סה"כ משרד החוץ (MAD)</t>
  </si>
  <si>
    <t xml:space="preserve">עלות משלחת כוללת </t>
  </si>
  <si>
    <t>דמי ביטול כרטיס הדר אבו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</si>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</sst>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Arial"/>
      <family val="2"/>
      <charset val="177"/>
      <scheme val="minor"/>
    </font>
    <font>
      <b/>
      <sz val="12"/>
      <color rgb="FF000000"/>
      <name val="David"/>
      <family val="2"/>
    </font>
    <font>
      <sz val="12"/>
      <color rgb="FF000000"/>
      <name val="David"/>
      <family val="2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sz val="11"/>
      <color theme="1"/>
      <name val="Arial"/>
      <family val="2"/>
      <charset val="177"/>
      <scheme val="minor"/>
    </font>
    <font>
      <b/>
      <sz val="14"/>
      <color theme="0"/>
      <name val="David"/>
      <family val="2"/>
    </font>
    <font>
      <sz val="10"/>
      <name val="Arial"/>
      <family val="2"/>
    </font>
    <font>
      <sz val="10"/>
      <name val="Arial"/>
    </font>
    <font>
      <b/>
      <sz val="12"/>
      <color rgb="FFFF0000"/>
      <name val="David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0"/>
    <xf numFmtId="0" fontId="8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right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right" vertical="center" wrapText="1" readingOrder="2"/>
    </xf>
    <xf numFmtId="4" fontId="2" fillId="0" borderId="1" xfId="0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left" vertical="center" readingOrder="1"/>
    </xf>
    <xf numFmtId="0" fontId="3" fillId="0" borderId="0" xfId="0" applyFont="1"/>
    <xf numFmtId="0" fontId="2" fillId="0" borderId="1" xfId="0" applyFont="1" applyFill="1" applyBorder="1" applyAlignment="1">
      <alignment horizontal="right" vertical="center" readingOrder="2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1" fillId="0" borderId="1" xfId="0" applyNumberFormat="1" applyFont="1" applyBorder="1" applyAlignment="1">
      <alignment horizontal="center" vertical="center" readingOrder="1"/>
    </xf>
    <xf numFmtId="4" fontId="2" fillId="0" borderId="1" xfId="0" applyNumberFormat="1" applyFont="1" applyFill="1" applyBorder="1" applyAlignment="1">
      <alignment horizontal="center" vertical="center" readingOrder="1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1" fillId="0" borderId="1" xfId="0" applyFont="1" applyBorder="1" applyAlignment="1">
      <alignment horizontal="right" vertical="center" readingOrder="2"/>
    </xf>
    <xf numFmtId="0" fontId="1" fillId="0" borderId="1" xfId="0" applyFont="1" applyBorder="1" applyAlignment="1">
      <alignment horizontal="center" vertical="center" readingOrder="2"/>
    </xf>
    <xf numFmtId="0" fontId="4" fillId="0" borderId="1" xfId="0" applyFont="1" applyBorder="1" applyAlignment="1"/>
    <xf numFmtId="0" fontId="0" fillId="0" borderId="1" xfId="0" applyBorder="1"/>
    <xf numFmtId="0" fontId="4" fillId="0" borderId="2" xfId="0" applyFont="1" applyBorder="1"/>
    <xf numFmtId="4" fontId="4" fillId="0" borderId="3" xfId="0" applyNumberFormat="1" applyFont="1" applyBorder="1" applyAlignment="1">
      <alignment horizontal="center"/>
    </xf>
    <xf numFmtId="0" fontId="3" fillId="0" borderId="4" xfId="0" applyFont="1" applyBorder="1"/>
    <xf numFmtId="0" fontId="1" fillId="0" borderId="1" xfId="0" applyFont="1" applyFill="1" applyBorder="1" applyAlignment="1">
      <alignment horizontal="right" vertical="center" readingOrder="2"/>
    </xf>
    <xf numFmtId="0" fontId="3" fillId="0" borderId="1" xfId="0" applyFont="1" applyBorder="1" applyAlignment="1">
      <alignment horizontal="right" wrapText="1"/>
    </xf>
    <xf numFmtId="0" fontId="3" fillId="0" borderId="1" xfId="0" applyFont="1" applyFill="1" applyBorder="1"/>
    <xf numFmtId="0" fontId="2" fillId="0" borderId="6" xfId="0" applyFont="1" applyFill="1" applyBorder="1" applyAlignment="1">
      <alignment horizontal="right" vertical="center" readingOrder="2"/>
    </xf>
    <xf numFmtId="43" fontId="2" fillId="0" borderId="1" xfId="1" applyNumberFormat="1" applyFont="1" applyBorder="1" applyAlignment="1">
      <alignment vertical="center" readingOrder="1"/>
    </xf>
    <xf numFmtId="4" fontId="3" fillId="0" borderId="0" xfId="0" applyNumberFormat="1" applyFont="1" applyAlignment="1">
      <alignment horizontal="center"/>
    </xf>
    <xf numFmtId="4" fontId="0" fillId="0" borderId="0" xfId="0" applyNumberFormat="1"/>
    <xf numFmtId="0" fontId="4" fillId="5" borderId="0" xfId="0" applyFont="1" applyFill="1"/>
    <xf numFmtId="43" fontId="0" fillId="0" borderId="0" xfId="0" applyNumberFormat="1"/>
    <xf numFmtId="0" fontId="9" fillId="0" borderId="0" xfId="0" applyFont="1"/>
    <xf numFmtId="43" fontId="9" fillId="0" borderId="0" xfId="0" applyNumberFormat="1" applyFont="1"/>
    <xf numFmtId="0" fontId="3" fillId="6" borderId="1" xfId="0" applyFont="1" applyFill="1" applyBorder="1"/>
    <xf numFmtId="4" fontId="3" fillId="6" borderId="1" xfId="0" applyNumberFormat="1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center"/>
    </xf>
    <xf numFmtId="4" fontId="2" fillId="6" borderId="1" xfId="0" applyNumberFormat="1" applyFont="1" applyFill="1" applyBorder="1" applyAlignment="1">
      <alignment horizontal="center" vertical="center" readingOrder="1"/>
    </xf>
    <xf numFmtId="4" fontId="1" fillId="6" borderId="1" xfId="0" applyNumberFormat="1" applyFont="1" applyFill="1" applyBorder="1" applyAlignment="1">
      <alignment horizontal="center" vertical="center" readingOrder="1"/>
    </xf>
    <xf numFmtId="0" fontId="3" fillId="6" borderId="1" xfId="0" applyFont="1" applyFill="1" applyBorder="1" applyAlignment="1">
      <alignment horizontal="right"/>
    </xf>
    <xf numFmtId="3" fontId="1" fillId="6" borderId="1" xfId="0" applyNumberFormat="1" applyFont="1" applyFill="1" applyBorder="1" applyAlignment="1">
      <alignment horizontal="center" vertical="center" readingOrder="1"/>
    </xf>
    <xf numFmtId="43" fontId="1" fillId="6" borderId="1" xfId="1" applyNumberFormat="1" applyFont="1" applyFill="1" applyBorder="1" applyAlignment="1">
      <alignment vertical="center" readingOrder="1"/>
    </xf>
    <xf numFmtId="43" fontId="2" fillId="6" borderId="1" xfId="1" applyNumberFormat="1" applyFont="1" applyFill="1" applyBorder="1" applyAlignment="1">
      <alignment vertical="center" readingOrder="1"/>
    </xf>
    <xf numFmtId="43" fontId="4" fillId="5" borderId="0" xfId="0" applyNumberFormat="1" applyFont="1" applyFill="1"/>
    <xf numFmtId="0" fontId="6" fillId="4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readingOrder="2"/>
    </xf>
    <xf numFmtId="0" fontId="1" fillId="3" borderId="2" xfId="0" applyFont="1" applyFill="1" applyBorder="1" applyAlignment="1">
      <alignment horizontal="center" vertical="center" readingOrder="2"/>
    </xf>
    <xf numFmtId="0" fontId="1" fillId="3" borderId="3" xfId="0" applyFont="1" applyFill="1" applyBorder="1" applyAlignment="1">
      <alignment horizontal="center" vertical="center" readingOrder="2"/>
    </xf>
    <xf numFmtId="0" fontId="1" fillId="3" borderId="4" xfId="0" applyFont="1" applyFill="1" applyBorder="1" applyAlignment="1">
      <alignment horizontal="center" vertical="center" readingOrder="2"/>
    </xf>
    <xf numFmtId="0" fontId="1" fillId="2" borderId="2" xfId="0" applyFont="1" applyFill="1" applyBorder="1" applyAlignment="1">
      <alignment horizontal="center" vertical="center" readingOrder="2"/>
    </xf>
    <xf numFmtId="0" fontId="1" fillId="2" borderId="3" xfId="0" applyFont="1" applyFill="1" applyBorder="1" applyAlignment="1">
      <alignment horizontal="center" vertical="center" readingOrder="2"/>
    </xf>
    <xf numFmtId="0" fontId="1" fillId="2" borderId="4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 readingOrder="2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3"/>
  <sheetViews>
    <sheetView rightToLeft="1" tabSelected="1" topLeftCell="D1" zoomScale="85" zoomScaleNormal="85" workbookViewId="0">
      <selection activeCell="E1" sqref="E1:G1"/>
    </sheetView>
  </sheetViews>
  <sheetFormatPr defaultRowHeight="13.8" x14ac:dyDescent="0.25"/>
  <cols>
    <col min="1" max="1" width="25.3984375" bestFit="1" customWidth="1"/>
    <col min="2" max="2" width="9.09765625" bestFit="1" customWidth="1"/>
    <col min="3" max="3" width="39.3984375" customWidth="1"/>
    <col min="5" max="5" width="24.296875" customWidth="1"/>
    <col min="6" max="6" width="12.59765625" customWidth="1"/>
    <col min="7" max="7" width="37.59765625" customWidth="1"/>
  </cols>
  <sheetData>
    <row r="1" spans="5:7" ht="18" x14ac:dyDescent="0.35">
      <c r="E1" s="48" t="s">
        <v>133</v>
      </c>
      <c r="F1" s="48"/>
      <c r="G1" s="48"/>
    </row>
    <row r="2" spans="5:7" ht="15.6" x14ac:dyDescent="0.25">
      <c r="E2" s="49" t="s">
        <v>12</v>
      </c>
      <c r="F2" s="49"/>
      <c r="G2" s="49"/>
    </row>
    <row r="3" spans="5:7" ht="15.6" x14ac:dyDescent="0.25">
      <c r="E3" s="20" t="s">
        <v>0</v>
      </c>
      <c r="F3" s="21" t="s">
        <v>18</v>
      </c>
      <c r="G3" s="20" t="s">
        <v>2</v>
      </c>
    </row>
    <row r="4" spans="5:7" ht="31.2" x14ac:dyDescent="0.25">
      <c r="E4" s="1" t="s">
        <v>116</v>
      </c>
      <c r="F4" s="31">
        <v>0</v>
      </c>
      <c r="G4" s="4" t="s">
        <v>4</v>
      </c>
    </row>
    <row r="5" spans="5:7" ht="15.6" x14ac:dyDescent="0.25">
      <c r="E5" s="1" t="s">
        <v>114</v>
      </c>
      <c r="F5" s="31">
        <v>2064</v>
      </c>
      <c r="G5" s="4"/>
    </row>
    <row r="6" spans="5:7" ht="15.6" x14ac:dyDescent="0.25">
      <c r="E6" s="1" t="s">
        <v>115</v>
      </c>
      <c r="F6" s="31">
        <v>2191.34</v>
      </c>
      <c r="G6" s="4"/>
    </row>
    <row r="7" spans="5:7" ht="15.6" x14ac:dyDescent="0.25">
      <c r="E7" s="1" t="s">
        <v>113</v>
      </c>
      <c r="F7" s="31">
        <v>2223</v>
      </c>
      <c r="G7" s="4"/>
    </row>
    <row r="8" spans="5:7" ht="15.6" x14ac:dyDescent="0.25">
      <c r="E8" s="1" t="s">
        <v>46</v>
      </c>
      <c r="F8" s="46"/>
      <c r="G8" s="4"/>
    </row>
    <row r="9" spans="5:7" ht="15.6" x14ac:dyDescent="0.25">
      <c r="E9" s="1" t="s">
        <v>5</v>
      </c>
      <c r="F9" s="31">
        <v>1256</v>
      </c>
      <c r="G9" s="6"/>
    </row>
    <row r="10" spans="5:7" ht="15.6" x14ac:dyDescent="0.25">
      <c r="E10" s="20" t="s">
        <v>6</v>
      </c>
      <c r="F10" s="45"/>
      <c r="G10" s="6"/>
    </row>
    <row r="11" spans="5:7" ht="15.6" x14ac:dyDescent="0.25">
      <c r="E11" s="49" t="s">
        <v>7</v>
      </c>
      <c r="F11" s="49"/>
      <c r="G11" s="49"/>
    </row>
    <row r="12" spans="5:7" ht="15.6" x14ac:dyDescent="0.25">
      <c r="E12" s="20" t="s">
        <v>8</v>
      </c>
      <c r="F12" s="44"/>
      <c r="G12" s="6"/>
    </row>
    <row r="13" spans="5:7" ht="15.6" x14ac:dyDescent="0.25">
      <c r="E13" s="49" t="s">
        <v>29</v>
      </c>
      <c r="F13" s="49"/>
      <c r="G13" s="49"/>
    </row>
    <row r="14" spans="5:7" ht="15.6" x14ac:dyDescent="0.3">
      <c r="E14" s="8" t="s">
        <v>9</v>
      </c>
      <c r="F14" s="17">
        <v>1974</v>
      </c>
      <c r="G14" s="10"/>
    </row>
    <row r="15" spans="5:7" ht="15.6" x14ac:dyDescent="0.3">
      <c r="E15" s="10" t="s">
        <v>10</v>
      </c>
      <c r="F15" s="17">
        <v>4595.45</v>
      </c>
      <c r="G15" s="10"/>
    </row>
    <row r="16" spans="5:7" ht="15.6" x14ac:dyDescent="0.3">
      <c r="E16" s="10" t="s">
        <v>77</v>
      </c>
      <c r="F16" s="17">
        <f>102.2+329.63+52.15</f>
        <v>483.97999999999996</v>
      </c>
      <c r="G16" s="10"/>
    </row>
    <row r="17" spans="1:7" ht="15.6" x14ac:dyDescent="0.3">
      <c r="E17" s="19" t="s">
        <v>11</v>
      </c>
      <c r="F17" s="13">
        <f>SUM(F14:F16)</f>
        <v>7053.4299999999994</v>
      </c>
      <c r="G17" s="10"/>
    </row>
    <row r="18" spans="1:7" s="7" customFormat="1" ht="15.6" x14ac:dyDescent="0.3">
      <c r="A18"/>
      <c r="B18"/>
      <c r="C18"/>
      <c r="E18" s="18" t="s">
        <v>48</v>
      </c>
      <c r="F18" s="13">
        <v>32158</v>
      </c>
      <c r="G18" s="9"/>
    </row>
    <row r="20" spans="1:7" ht="15.6" x14ac:dyDescent="0.3">
      <c r="E20" s="34" t="s">
        <v>139</v>
      </c>
      <c r="F20" s="47">
        <v>79229</v>
      </c>
    </row>
    <row r="23" spans="1:7" ht="15.6" x14ac:dyDescent="0.3">
      <c r="A23" s="36"/>
      <c r="B23" s="37"/>
    </row>
  </sheetData>
  <mergeCells count="4">
    <mergeCell ref="E1:G1"/>
    <mergeCell ref="E2:G2"/>
    <mergeCell ref="E11:G11"/>
    <mergeCell ref="E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24"/>
  <sheetViews>
    <sheetView rightToLeft="1" zoomScale="85" zoomScaleNormal="85" workbookViewId="0">
      <selection activeCell="A17" sqref="A17"/>
    </sheetView>
  </sheetViews>
  <sheetFormatPr defaultRowHeight="13.8" x14ac:dyDescent="0.25"/>
  <cols>
    <col min="1" max="1" width="29.3984375" customWidth="1"/>
    <col min="2" max="2" width="10.09765625" style="14" bestFit="1" customWidth="1"/>
    <col min="3" max="3" width="31.3984375" bestFit="1" customWidth="1"/>
    <col min="5" max="5" width="24.296875" bestFit="1" customWidth="1"/>
    <col min="6" max="6" width="13" customWidth="1"/>
    <col min="7" max="7" width="31.3984375" bestFit="1" customWidth="1"/>
  </cols>
  <sheetData>
    <row r="1" spans="1:7" ht="18" x14ac:dyDescent="0.35">
      <c r="A1" s="14"/>
      <c r="C1" s="14"/>
      <c r="E1" s="48" t="s">
        <v>134</v>
      </c>
      <c r="F1" s="48"/>
      <c r="G1" s="48"/>
    </row>
    <row r="2" spans="1:7" ht="15.6" x14ac:dyDescent="0.25">
      <c r="A2" s="14"/>
      <c r="C2" s="14"/>
      <c r="E2" s="49" t="s">
        <v>12</v>
      </c>
      <c r="F2" s="49"/>
      <c r="G2" s="49"/>
    </row>
    <row r="3" spans="1:7" ht="15.6" x14ac:dyDescent="0.25">
      <c r="A3" s="14"/>
      <c r="C3" s="14"/>
      <c r="E3" s="20" t="s">
        <v>0</v>
      </c>
      <c r="F3" s="21" t="s">
        <v>13</v>
      </c>
      <c r="G3" s="20" t="s">
        <v>2</v>
      </c>
    </row>
    <row r="4" spans="1:7" ht="31.2" x14ac:dyDescent="0.25">
      <c r="A4" s="14"/>
      <c r="C4" s="14"/>
      <c r="E4" s="1" t="s">
        <v>3</v>
      </c>
      <c r="F4" s="3">
        <v>0</v>
      </c>
      <c r="G4" s="4" t="s">
        <v>14</v>
      </c>
    </row>
    <row r="5" spans="1:7" ht="15.6" x14ac:dyDescent="0.25">
      <c r="A5" s="14"/>
      <c r="C5" s="14"/>
      <c r="E5" s="1" t="s">
        <v>109</v>
      </c>
      <c r="F5" s="5">
        <f>4574+665</f>
        <v>5239</v>
      </c>
      <c r="G5" s="4"/>
    </row>
    <row r="6" spans="1:7" ht="15.6" x14ac:dyDescent="0.25">
      <c r="A6" s="14"/>
      <c r="C6" s="14"/>
      <c r="E6" s="1" t="s">
        <v>108</v>
      </c>
      <c r="F6" s="5">
        <f>4574</f>
        <v>4574</v>
      </c>
      <c r="G6" s="4"/>
    </row>
    <row r="7" spans="1:7" ht="15.6" x14ac:dyDescent="0.25">
      <c r="A7" s="14"/>
      <c r="C7" s="14"/>
      <c r="E7" s="1" t="s">
        <v>107</v>
      </c>
      <c r="F7" s="5">
        <f>3742</f>
        <v>3742</v>
      </c>
      <c r="G7" s="4"/>
    </row>
    <row r="8" spans="1:7" ht="15.6" x14ac:dyDescent="0.25">
      <c r="A8" s="14"/>
      <c r="C8" s="14"/>
      <c r="E8" s="1" t="s">
        <v>46</v>
      </c>
      <c r="F8" s="41" t="s">
        <v>141</v>
      </c>
      <c r="G8" s="4"/>
    </row>
    <row r="9" spans="1:7" ht="15.6" x14ac:dyDescent="0.25">
      <c r="A9" s="14"/>
      <c r="C9" s="14"/>
      <c r="E9" s="1" t="s">
        <v>5</v>
      </c>
      <c r="F9" s="5">
        <f>683*2</f>
        <v>1366</v>
      </c>
      <c r="G9" s="6"/>
    </row>
    <row r="10" spans="1:7" ht="15.6" x14ac:dyDescent="0.25">
      <c r="A10" s="14"/>
      <c r="C10" s="14"/>
      <c r="E10" s="1" t="s">
        <v>6</v>
      </c>
      <c r="F10" s="42" t="s">
        <v>141</v>
      </c>
      <c r="G10" s="6"/>
    </row>
    <row r="11" spans="1:7" ht="15.6" x14ac:dyDescent="0.25">
      <c r="A11" s="14"/>
      <c r="C11" s="14"/>
      <c r="E11" s="49" t="s">
        <v>7</v>
      </c>
      <c r="F11" s="49"/>
      <c r="G11" s="49"/>
    </row>
    <row r="12" spans="1:7" ht="15.6" x14ac:dyDescent="0.25">
      <c r="A12" s="14"/>
      <c r="C12" s="14"/>
      <c r="E12" s="20" t="s">
        <v>15</v>
      </c>
      <c r="F12" s="42" t="s">
        <v>141</v>
      </c>
      <c r="G12" s="6"/>
    </row>
    <row r="13" spans="1:7" ht="15.6" x14ac:dyDescent="0.25">
      <c r="A13" s="14"/>
      <c r="C13" s="14"/>
      <c r="E13" s="49" t="s">
        <v>30</v>
      </c>
      <c r="F13" s="49"/>
      <c r="G13" s="49"/>
    </row>
    <row r="14" spans="1:7" ht="15.6" x14ac:dyDescent="0.3">
      <c r="A14" s="14"/>
      <c r="C14" s="14"/>
      <c r="E14" s="8" t="s">
        <v>9</v>
      </c>
      <c r="F14" s="12">
        <v>4500</v>
      </c>
      <c r="G14" s="10"/>
    </row>
    <row r="15" spans="1:7" ht="15.6" x14ac:dyDescent="0.3">
      <c r="A15" s="14"/>
      <c r="C15" s="14"/>
      <c r="E15" s="8" t="s">
        <v>16</v>
      </c>
      <c r="F15" s="17">
        <f>2002.6+5990.7</f>
        <v>7993.2999999999993</v>
      </c>
      <c r="G15" s="10"/>
    </row>
    <row r="16" spans="1:7" ht="15.6" x14ac:dyDescent="0.3">
      <c r="A16" s="14"/>
      <c r="C16" s="14"/>
      <c r="E16" s="8" t="s">
        <v>86</v>
      </c>
      <c r="F16" s="39"/>
      <c r="G16" s="10"/>
    </row>
    <row r="17" spans="1:7" ht="15.6" x14ac:dyDescent="0.3">
      <c r="A17" s="14"/>
      <c r="C17" s="14"/>
      <c r="E17" s="8" t="s">
        <v>43</v>
      </c>
      <c r="F17" s="17">
        <v>318.95</v>
      </c>
      <c r="G17" s="10"/>
    </row>
    <row r="18" spans="1:7" ht="15.6" x14ac:dyDescent="0.3">
      <c r="A18" s="14"/>
      <c r="C18" s="14"/>
      <c r="E18" s="19" t="s">
        <v>17</v>
      </c>
      <c r="F18" s="40"/>
      <c r="G18" s="10"/>
    </row>
    <row r="19" spans="1:7" ht="15.6" x14ac:dyDescent="0.3">
      <c r="A19" s="14"/>
      <c r="C19" s="14"/>
      <c r="E19" s="19" t="s">
        <v>48</v>
      </c>
      <c r="F19" s="40"/>
      <c r="G19" s="10"/>
    </row>
    <row r="20" spans="1:7" x14ac:dyDescent="0.25">
      <c r="A20" s="14"/>
      <c r="C20" s="14"/>
    </row>
    <row r="21" spans="1:7" ht="15.6" x14ac:dyDescent="0.3">
      <c r="A21" s="14"/>
      <c r="C21" s="14"/>
      <c r="E21" s="34" t="s">
        <v>139</v>
      </c>
      <c r="F21" s="47">
        <v>100664</v>
      </c>
    </row>
    <row r="22" spans="1:7" x14ac:dyDescent="0.25">
      <c r="A22" s="14"/>
      <c r="C22" s="14"/>
    </row>
    <row r="23" spans="1:7" x14ac:dyDescent="0.25">
      <c r="A23" s="14"/>
      <c r="C23" s="14"/>
    </row>
    <row r="24" spans="1:7" x14ac:dyDescent="0.25">
      <c r="A24" s="14"/>
      <c r="C24" s="14"/>
    </row>
  </sheetData>
  <mergeCells count="4">
    <mergeCell ref="E1:G1"/>
    <mergeCell ref="E2:G2"/>
    <mergeCell ref="E11:G11"/>
    <mergeCell ref="E13:G13"/>
  </mergeCells>
  <pageMargins left="0.7" right="0.7" top="0.75" bottom="0.75" header="0.3" footer="0.3"/>
  <pageSetup paperSize="9"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G52"/>
  <sheetViews>
    <sheetView rightToLeft="1" topLeftCell="C12" zoomScale="85" zoomScaleNormal="85" workbookViewId="0">
      <selection activeCell="F17" sqref="F17"/>
    </sheetView>
  </sheetViews>
  <sheetFormatPr defaultRowHeight="13.8" x14ac:dyDescent="0.25"/>
  <cols>
    <col min="1" max="1" width="26" bestFit="1" customWidth="1"/>
    <col min="2" max="2" width="10.69921875" bestFit="1" customWidth="1"/>
    <col min="3" max="3" width="50.8984375" customWidth="1"/>
    <col min="5" max="5" width="26" bestFit="1" customWidth="1"/>
    <col min="6" max="6" width="16.09765625" customWidth="1"/>
    <col min="7" max="7" width="36.09765625" bestFit="1" customWidth="1"/>
  </cols>
  <sheetData>
    <row r="1" spans="4:7" ht="18" x14ac:dyDescent="0.35">
      <c r="E1" s="48" t="s">
        <v>135</v>
      </c>
      <c r="F1" s="48"/>
      <c r="G1" s="48"/>
    </row>
    <row r="2" spans="4:7" ht="15.6" x14ac:dyDescent="0.25">
      <c r="E2" s="49" t="s">
        <v>19</v>
      </c>
      <c r="F2" s="49"/>
      <c r="G2" s="49"/>
    </row>
    <row r="3" spans="4:7" ht="15.6" x14ac:dyDescent="0.25">
      <c r="E3" s="20" t="s">
        <v>0</v>
      </c>
      <c r="F3" s="21" t="s">
        <v>13</v>
      </c>
      <c r="G3" s="20" t="s">
        <v>2</v>
      </c>
    </row>
    <row r="4" spans="4:7" ht="15.6" x14ac:dyDescent="0.25">
      <c r="E4" s="1" t="s">
        <v>3</v>
      </c>
      <c r="F4" s="3">
        <v>0</v>
      </c>
      <c r="G4" s="4" t="s">
        <v>118</v>
      </c>
    </row>
    <row r="5" spans="4:7" ht="15.6" x14ac:dyDescent="0.25">
      <c r="E5" s="1" t="s">
        <v>112</v>
      </c>
      <c r="F5" s="5">
        <f>11472+7266.47</f>
        <v>18738.47</v>
      </c>
      <c r="G5" s="4"/>
    </row>
    <row r="6" spans="4:7" ht="15.6" x14ac:dyDescent="0.25">
      <c r="E6" s="1" t="s">
        <v>109</v>
      </c>
      <c r="F6" s="5">
        <f>1535+3933.55+44.51</f>
        <v>5513.06</v>
      </c>
      <c r="G6" s="4"/>
    </row>
    <row r="7" spans="4:7" ht="15.6" x14ac:dyDescent="0.25">
      <c r="E7" s="1" t="s">
        <v>108</v>
      </c>
      <c r="F7" s="5">
        <f>1535+3919.57</f>
        <v>5454.57</v>
      </c>
      <c r="G7" s="4"/>
    </row>
    <row r="8" spans="4:7" ht="15.6" x14ac:dyDescent="0.25">
      <c r="E8" s="1" t="s">
        <v>106</v>
      </c>
      <c r="F8" s="5">
        <f>1535+3919.57</f>
        <v>5454.57</v>
      </c>
      <c r="G8" s="4"/>
    </row>
    <row r="9" spans="4:7" ht="15.6" x14ac:dyDescent="0.25">
      <c r="E9" s="1" t="s">
        <v>107</v>
      </c>
      <c r="F9" s="5">
        <f>1535+3919.57</f>
        <v>5454.57</v>
      </c>
      <c r="G9" s="4"/>
    </row>
    <row r="10" spans="4:7" ht="15.6" x14ac:dyDescent="0.25">
      <c r="E10" s="1" t="s">
        <v>111</v>
      </c>
      <c r="F10" s="5">
        <f>1512+5810.9</f>
        <v>7322.9</v>
      </c>
      <c r="G10" s="4"/>
    </row>
    <row r="11" spans="4:7" ht="15.6" x14ac:dyDescent="0.25">
      <c r="E11" s="1" t="s">
        <v>110</v>
      </c>
      <c r="F11" s="5">
        <f>1535+89.5+4072+99.23</f>
        <v>5795.73</v>
      </c>
      <c r="G11" s="4"/>
    </row>
    <row r="12" spans="4:7" ht="15.6" x14ac:dyDescent="0.25">
      <c r="E12" s="1" t="s">
        <v>117</v>
      </c>
      <c r="F12" s="5">
        <f>1535+5693</f>
        <v>7228</v>
      </c>
      <c r="G12" s="4"/>
    </row>
    <row r="13" spans="4:7" ht="15.6" x14ac:dyDescent="0.25">
      <c r="E13" s="1" t="s">
        <v>47</v>
      </c>
      <c r="F13" s="41"/>
      <c r="G13" s="4"/>
    </row>
    <row r="14" spans="4:7" ht="15.6" x14ac:dyDescent="0.25">
      <c r="E14" s="1" t="s">
        <v>5</v>
      </c>
      <c r="F14" s="5">
        <v>1590.52</v>
      </c>
      <c r="G14" s="6"/>
    </row>
    <row r="15" spans="4:7" ht="15.6" x14ac:dyDescent="0.25">
      <c r="D15" s="33"/>
      <c r="E15" s="20" t="s">
        <v>20</v>
      </c>
      <c r="F15" s="42"/>
      <c r="G15" s="6"/>
    </row>
    <row r="16" spans="4:7" ht="15.6" x14ac:dyDescent="0.25">
      <c r="E16" s="49" t="s">
        <v>7</v>
      </c>
      <c r="F16" s="49"/>
      <c r="G16" s="49"/>
    </row>
    <row r="17" spans="5:7" ht="15.6" x14ac:dyDescent="0.25">
      <c r="E17" s="20" t="s">
        <v>25</v>
      </c>
      <c r="F17" s="42"/>
      <c r="G17" s="6"/>
    </row>
    <row r="18" spans="5:7" ht="15.6" x14ac:dyDescent="0.25">
      <c r="E18" s="53" t="s">
        <v>32</v>
      </c>
      <c r="F18" s="54"/>
      <c r="G18" s="55"/>
    </row>
    <row r="19" spans="5:7" ht="15.6" x14ac:dyDescent="0.25">
      <c r="E19" s="50" t="s">
        <v>39</v>
      </c>
      <c r="F19" s="51"/>
      <c r="G19" s="52"/>
    </row>
    <row r="20" spans="5:7" ht="15.6" x14ac:dyDescent="0.3">
      <c r="E20" s="10" t="s">
        <v>9</v>
      </c>
      <c r="F20" s="17">
        <f>5069+263712-62099.9</f>
        <v>206681.1</v>
      </c>
      <c r="G20" s="10"/>
    </row>
    <row r="21" spans="5:7" ht="15.6" x14ac:dyDescent="0.3">
      <c r="E21" s="10" t="s">
        <v>16</v>
      </c>
      <c r="F21" s="17">
        <f>461970-20650</f>
        <v>441320</v>
      </c>
      <c r="G21" s="10"/>
    </row>
    <row r="22" spans="5:7" ht="15.6" x14ac:dyDescent="0.3">
      <c r="E22" s="10" t="s">
        <v>87</v>
      </c>
      <c r="F22" s="17">
        <v>1200</v>
      </c>
      <c r="G22" s="10"/>
    </row>
    <row r="23" spans="5:7" ht="15.6" x14ac:dyDescent="0.3">
      <c r="E23" s="10" t="s">
        <v>88</v>
      </c>
      <c r="F23" s="17">
        <v>18290</v>
      </c>
      <c r="G23" s="10"/>
    </row>
    <row r="24" spans="5:7" ht="15.6" x14ac:dyDescent="0.3">
      <c r="E24" s="10" t="s">
        <v>89</v>
      </c>
      <c r="F24" s="17">
        <v>560</v>
      </c>
      <c r="G24" s="10"/>
    </row>
    <row r="25" spans="5:7" ht="15.6" x14ac:dyDescent="0.3">
      <c r="E25" s="10" t="s">
        <v>74</v>
      </c>
      <c r="F25" s="17">
        <v>64888</v>
      </c>
      <c r="G25" s="10"/>
    </row>
    <row r="26" spans="5:7" ht="15.6" x14ac:dyDescent="0.3">
      <c r="E26" s="10" t="s">
        <v>66</v>
      </c>
      <c r="F26" s="17">
        <f>47250+91805</f>
        <v>139055</v>
      </c>
      <c r="G26" s="10"/>
    </row>
    <row r="27" spans="5:7" ht="15.6" x14ac:dyDescent="0.3">
      <c r="E27" s="10" t="s">
        <v>85</v>
      </c>
      <c r="F27" s="17">
        <f>5863.31+2281.32+1396.76+1886.36+2606.13+279+434+521</f>
        <v>15267.880000000001</v>
      </c>
      <c r="G27" s="10"/>
    </row>
    <row r="28" spans="5:7" ht="15.6" x14ac:dyDescent="0.3">
      <c r="E28" s="19" t="s">
        <v>90</v>
      </c>
      <c r="F28" s="13">
        <f>SUM(F20:F27)</f>
        <v>887261.98</v>
      </c>
      <c r="G28" s="10"/>
    </row>
    <row r="29" spans="5:7" ht="15.6" x14ac:dyDescent="0.25">
      <c r="E29" s="50" t="s">
        <v>28</v>
      </c>
      <c r="F29" s="51"/>
      <c r="G29" s="52"/>
    </row>
    <row r="30" spans="5:7" ht="15.6" x14ac:dyDescent="0.3">
      <c r="E30" s="29" t="s">
        <v>9</v>
      </c>
      <c r="F30" s="17">
        <f>700040-131759.98</f>
        <v>568280.02</v>
      </c>
      <c r="G30" s="10"/>
    </row>
    <row r="31" spans="5:7" ht="15.6" x14ac:dyDescent="0.3">
      <c r="E31" s="29" t="s">
        <v>16</v>
      </c>
      <c r="F31" s="17">
        <f>25000+50000+50000+50000+50000+50000+58000+50000+75000+87000+71999.95+50000</f>
        <v>666999.94999999995</v>
      </c>
      <c r="G31" s="10"/>
    </row>
    <row r="32" spans="5:7" ht="15.6" x14ac:dyDescent="0.3">
      <c r="E32" s="29" t="s">
        <v>91</v>
      </c>
      <c r="F32" s="17">
        <v>1100</v>
      </c>
      <c r="G32" s="10"/>
    </row>
    <row r="33" spans="5:7" ht="15.6" x14ac:dyDescent="0.3">
      <c r="E33" s="29" t="s">
        <v>92</v>
      </c>
      <c r="F33" s="17">
        <f>34724+245000-29724</f>
        <v>250000</v>
      </c>
      <c r="G33" s="10"/>
    </row>
    <row r="34" spans="5:7" ht="15.6" x14ac:dyDescent="0.3">
      <c r="E34" s="29" t="s">
        <v>93</v>
      </c>
      <c r="F34" s="17">
        <v>790</v>
      </c>
      <c r="G34" s="10"/>
    </row>
    <row r="35" spans="5:7" ht="15.6" x14ac:dyDescent="0.3">
      <c r="E35" s="29" t="s">
        <v>94</v>
      </c>
      <c r="F35" s="17">
        <v>1134</v>
      </c>
      <c r="G35" s="10"/>
    </row>
    <row r="36" spans="5:7" ht="15.6" x14ac:dyDescent="0.3">
      <c r="E36" s="29" t="s">
        <v>85</v>
      </c>
      <c r="F36" s="17">
        <f>14418.25</f>
        <v>14418.25</v>
      </c>
      <c r="G36" s="10"/>
    </row>
    <row r="37" spans="5:7" ht="15.6" x14ac:dyDescent="0.3">
      <c r="E37" s="38"/>
      <c r="F37" s="39"/>
      <c r="G37" s="10"/>
    </row>
    <row r="38" spans="5:7" ht="15.6" x14ac:dyDescent="0.3">
      <c r="E38" s="29" t="s">
        <v>95</v>
      </c>
      <c r="F38" s="17">
        <v>134992</v>
      </c>
      <c r="G38" s="10"/>
    </row>
    <row r="39" spans="5:7" ht="15.6" x14ac:dyDescent="0.3">
      <c r="E39" s="29" t="s">
        <v>96</v>
      </c>
      <c r="F39" s="17">
        <v>932</v>
      </c>
      <c r="G39" s="10"/>
    </row>
    <row r="40" spans="5:7" ht="15.6" x14ac:dyDescent="0.3">
      <c r="E40" s="29" t="s">
        <v>97</v>
      </c>
      <c r="F40" s="17">
        <v>12500</v>
      </c>
      <c r="G40" s="10"/>
    </row>
    <row r="41" spans="5:7" ht="15.6" x14ac:dyDescent="0.3">
      <c r="E41" s="29" t="s">
        <v>98</v>
      </c>
      <c r="F41" s="17">
        <v>67497</v>
      </c>
      <c r="G41" s="10"/>
    </row>
    <row r="42" spans="5:7" ht="15.6" x14ac:dyDescent="0.3">
      <c r="E42" s="19" t="s">
        <v>99</v>
      </c>
      <c r="F42" s="40"/>
      <c r="G42" s="10"/>
    </row>
    <row r="43" spans="5:7" ht="15.6" x14ac:dyDescent="0.3">
      <c r="E43" s="18" t="s">
        <v>49</v>
      </c>
      <c r="F43" s="40"/>
      <c r="G43" s="10"/>
    </row>
    <row r="44" spans="5:7" ht="15.6" x14ac:dyDescent="0.3">
      <c r="E44" s="19" t="s">
        <v>50</v>
      </c>
      <c r="F44" s="40"/>
      <c r="G44" s="10"/>
    </row>
    <row r="46" spans="5:7" ht="15.6" x14ac:dyDescent="0.3">
      <c r="E46" s="34" t="s">
        <v>139</v>
      </c>
      <c r="F46" s="47">
        <v>366795.23</v>
      </c>
    </row>
    <row r="49" spans="1:3" ht="15.6" x14ac:dyDescent="0.3">
      <c r="A49" s="36"/>
      <c r="B49" s="37"/>
      <c r="C49" s="35"/>
    </row>
    <row r="51" spans="1:3" x14ac:dyDescent="0.25">
      <c r="B51" s="35"/>
    </row>
    <row r="52" spans="1:3" x14ac:dyDescent="0.25">
      <c r="B52" s="33"/>
    </row>
  </sheetData>
  <mergeCells count="6">
    <mergeCell ref="E29:G29"/>
    <mergeCell ref="E1:G1"/>
    <mergeCell ref="E2:G2"/>
    <mergeCell ref="E16:G16"/>
    <mergeCell ref="E18:G18"/>
    <mergeCell ref="E19:G19"/>
  </mergeCells>
  <pageMargins left="0.7" right="0.7" top="0.75" bottom="0.75" header="0.3" footer="0.3"/>
  <pageSetup paperSize="9" scale="47" fitToHeight="0" orientation="portrait" verticalDpi="1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G36"/>
  <sheetViews>
    <sheetView rightToLeft="1" topLeftCell="B1" zoomScale="85" zoomScaleNormal="85" workbookViewId="0">
      <selection activeCell="F27" sqref="F27"/>
    </sheetView>
  </sheetViews>
  <sheetFormatPr defaultColWidth="9" defaultRowHeight="15.6" x14ac:dyDescent="0.3"/>
  <cols>
    <col min="1" max="1" width="33.296875" style="7" bestFit="1" customWidth="1"/>
    <col min="2" max="2" width="10.09765625" style="7" bestFit="1" customWidth="1"/>
    <col min="3" max="3" width="37.59765625" style="7" customWidth="1"/>
    <col min="4" max="4" width="9.59765625" style="7" customWidth="1"/>
    <col min="5" max="5" width="30.59765625" style="7" bestFit="1" customWidth="1"/>
    <col min="6" max="6" width="14.8984375" style="7" customWidth="1"/>
    <col min="7" max="7" width="36.09765625" style="7" customWidth="1"/>
    <col min="8" max="16384" width="9" style="7"/>
  </cols>
  <sheetData>
    <row r="1" spans="5:7" ht="18" x14ac:dyDescent="0.35">
      <c r="E1" s="48" t="s">
        <v>136</v>
      </c>
      <c r="F1" s="48"/>
      <c r="G1" s="48"/>
    </row>
    <row r="2" spans="5:7" x14ac:dyDescent="0.3">
      <c r="E2" s="49" t="s">
        <v>19</v>
      </c>
      <c r="F2" s="49"/>
      <c r="G2" s="49"/>
    </row>
    <row r="3" spans="5:7" x14ac:dyDescent="0.3">
      <c r="E3" s="20" t="s">
        <v>0</v>
      </c>
      <c r="F3" s="21" t="s">
        <v>18</v>
      </c>
      <c r="G3" s="20" t="s">
        <v>2</v>
      </c>
    </row>
    <row r="4" spans="5:7" x14ac:dyDescent="0.3">
      <c r="E4" s="1" t="s">
        <v>3</v>
      </c>
      <c r="F4" s="3">
        <v>0</v>
      </c>
      <c r="G4" s="4" t="s">
        <v>119</v>
      </c>
    </row>
    <row r="5" spans="5:7" x14ac:dyDescent="0.3">
      <c r="E5" s="10" t="s">
        <v>121</v>
      </c>
      <c r="F5" s="17">
        <v>3990.72</v>
      </c>
      <c r="G5" s="4"/>
    </row>
    <row r="6" spans="5:7" x14ac:dyDescent="0.3">
      <c r="E6" s="10" t="s">
        <v>108</v>
      </c>
      <c r="F6" s="17">
        <f>3674.88+404.88</f>
        <v>4079.76</v>
      </c>
      <c r="G6" s="4"/>
    </row>
    <row r="7" spans="5:7" x14ac:dyDescent="0.3">
      <c r="E7" s="10" t="s">
        <v>110</v>
      </c>
      <c r="F7" s="17">
        <f>3553.92+241.92</f>
        <v>3795.84</v>
      </c>
      <c r="G7" s="4"/>
    </row>
    <row r="8" spans="5:7" x14ac:dyDescent="0.3">
      <c r="E8" s="10" t="s">
        <v>122</v>
      </c>
      <c r="F8" s="17">
        <f>2598+2303.28</f>
        <v>4901.2800000000007</v>
      </c>
      <c r="G8" s="4"/>
    </row>
    <row r="9" spans="5:7" x14ac:dyDescent="0.3">
      <c r="E9" s="10" t="s">
        <v>140</v>
      </c>
      <c r="F9" s="17">
        <v>864.14</v>
      </c>
      <c r="G9" s="4"/>
    </row>
    <row r="10" spans="5:7" x14ac:dyDescent="0.3">
      <c r="E10" s="1" t="s">
        <v>46</v>
      </c>
      <c r="F10" s="41"/>
      <c r="G10" s="4"/>
    </row>
    <row r="11" spans="5:7" x14ac:dyDescent="0.3">
      <c r="E11" s="1" t="s">
        <v>5</v>
      </c>
      <c r="F11" s="5">
        <v>1607.6</v>
      </c>
      <c r="G11" s="6"/>
    </row>
    <row r="12" spans="5:7" x14ac:dyDescent="0.3">
      <c r="E12" s="20" t="s">
        <v>20</v>
      </c>
      <c r="F12" s="42"/>
      <c r="G12" s="6"/>
    </row>
    <row r="13" spans="5:7" x14ac:dyDescent="0.3">
      <c r="E13" s="49" t="s">
        <v>21</v>
      </c>
      <c r="F13" s="49"/>
      <c r="G13" s="49"/>
    </row>
    <row r="14" spans="5:7" x14ac:dyDescent="0.3">
      <c r="E14" s="20" t="s">
        <v>33</v>
      </c>
      <c r="F14" s="42"/>
      <c r="G14" s="6"/>
    </row>
    <row r="15" spans="5:7" x14ac:dyDescent="0.3">
      <c r="E15" s="53" t="s">
        <v>42</v>
      </c>
      <c r="F15" s="54"/>
      <c r="G15" s="55"/>
    </row>
    <row r="16" spans="5:7" x14ac:dyDescent="0.3">
      <c r="E16" s="16" t="s">
        <v>16</v>
      </c>
      <c r="F16" s="17">
        <f>6059.4+3702.01+2000+2000+13377.6+4918.4+8373.6+8918.4+9836.8</f>
        <v>59186.210000000006</v>
      </c>
      <c r="G16" s="9"/>
    </row>
    <row r="17" spans="5:7" x14ac:dyDescent="0.3">
      <c r="E17" s="16" t="s">
        <v>78</v>
      </c>
      <c r="F17" s="17">
        <f>13900+4500+16300+10900</f>
        <v>45600</v>
      </c>
      <c r="G17" s="9"/>
    </row>
    <row r="18" spans="5:7" x14ac:dyDescent="0.3">
      <c r="E18" s="28" t="s">
        <v>79</v>
      </c>
      <c r="F18" s="17">
        <v>6000</v>
      </c>
      <c r="G18" s="9"/>
    </row>
    <row r="19" spans="5:7" x14ac:dyDescent="0.3">
      <c r="E19" s="16" t="s">
        <v>23</v>
      </c>
      <c r="F19" s="17">
        <v>31200</v>
      </c>
      <c r="G19" s="10"/>
    </row>
    <row r="20" spans="5:7" x14ac:dyDescent="0.3">
      <c r="E20" s="16" t="s">
        <v>83</v>
      </c>
      <c r="F20" s="17">
        <v>49200</v>
      </c>
      <c r="G20" s="10"/>
    </row>
    <row r="21" spans="5:7" x14ac:dyDescent="0.3">
      <c r="E21" s="16" t="s">
        <v>80</v>
      </c>
      <c r="F21" s="17">
        <f>23400+13500</f>
        <v>36900</v>
      </c>
      <c r="G21" s="10"/>
    </row>
    <row r="22" spans="5:7" x14ac:dyDescent="0.3">
      <c r="E22" s="16" t="s">
        <v>81</v>
      </c>
      <c r="F22" s="17">
        <v>792.5</v>
      </c>
      <c r="G22" s="10"/>
    </row>
    <row r="23" spans="5:7" x14ac:dyDescent="0.3">
      <c r="E23" s="16" t="s">
        <v>82</v>
      </c>
      <c r="F23" s="17">
        <f>7700+3000</f>
        <v>10700</v>
      </c>
      <c r="G23" s="10"/>
    </row>
    <row r="24" spans="5:7" x14ac:dyDescent="0.3">
      <c r="E24" s="16" t="s">
        <v>84</v>
      </c>
      <c r="F24" s="17">
        <v>395</v>
      </c>
      <c r="G24" s="10"/>
    </row>
    <row r="25" spans="5:7" x14ac:dyDescent="0.3">
      <c r="E25" s="43"/>
      <c r="F25" s="39"/>
      <c r="G25" s="10"/>
    </row>
    <row r="26" spans="5:7" x14ac:dyDescent="0.3">
      <c r="E26" s="16" t="s">
        <v>85</v>
      </c>
      <c r="F26" s="17">
        <f>870.47+580.31+580.31+193.43+574.88</f>
        <v>2799.4</v>
      </c>
      <c r="G26" s="10"/>
    </row>
    <row r="27" spans="5:7" x14ac:dyDescent="0.3">
      <c r="E27" s="18" t="s">
        <v>138</v>
      </c>
      <c r="F27" s="40"/>
      <c r="G27" s="9"/>
    </row>
    <row r="28" spans="5:7" x14ac:dyDescent="0.3">
      <c r="E28" s="18" t="s">
        <v>50</v>
      </c>
      <c r="F28" s="40"/>
      <c r="G28" s="10"/>
    </row>
    <row r="32" spans="5:7" x14ac:dyDescent="0.3">
      <c r="E32" s="34" t="s">
        <v>139</v>
      </c>
      <c r="F32" s="47">
        <v>200691</v>
      </c>
    </row>
    <row r="36" spans="1:2" x14ac:dyDescent="0.3">
      <c r="A36" s="36"/>
      <c r="B36" s="37"/>
    </row>
  </sheetData>
  <mergeCells count="4">
    <mergeCell ref="E15:G15"/>
    <mergeCell ref="E1:G1"/>
    <mergeCell ref="E2:G2"/>
    <mergeCell ref="E13:G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H45"/>
  <sheetViews>
    <sheetView rightToLeft="1" topLeftCell="C1" zoomScale="85" zoomScaleNormal="85" workbookViewId="0">
      <selection activeCell="F42" sqref="F42"/>
    </sheetView>
  </sheetViews>
  <sheetFormatPr defaultRowHeight="13.8" x14ac:dyDescent="0.25"/>
  <cols>
    <col min="1" max="1" width="25" customWidth="1"/>
    <col min="2" max="2" width="10.09765625" bestFit="1" customWidth="1"/>
    <col min="3" max="3" width="47.3984375" customWidth="1"/>
    <col min="5" max="5" width="25.59765625" bestFit="1" customWidth="1"/>
    <col min="6" max="6" width="15" customWidth="1"/>
    <col min="7" max="7" width="48.3984375" customWidth="1"/>
  </cols>
  <sheetData>
    <row r="1" spans="5:7" ht="18" x14ac:dyDescent="0.35">
      <c r="E1" s="48" t="s">
        <v>137</v>
      </c>
      <c r="F1" s="48"/>
      <c r="G1" s="48"/>
    </row>
    <row r="2" spans="5:7" ht="15.6" x14ac:dyDescent="0.25">
      <c r="E2" s="49" t="s">
        <v>19</v>
      </c>
      <c r="F2" s="49"/>
      <c r="G2" s="49"/>
    </row>
    <row r="3" spans="5:7" ht="15.6" x14ac:dyDescent="0.25">
      <c r="E3" s="20" t="s">
        <v>0</v>
      </c>
      <c r="F3" s="21" t="s">
        <v>18</v>
      </c>
      <c r="G3" s="20" t="s">
        <v>2</v>
      </c>
    </row>
    <row r="4" spans="5:7" ht="15.6" x14ac:dyDescent="0.25">
      <c r="E4" s="1" t="s">
        <v>3</v>
      </c>
      <c r="F4" s="3">
        <v>0</v>
      </c>
      <c r="G4" s="4" t="s">
        <v>120</v>
      </c>
    </row>
    <row r="5" spans="5:7" ht="15.6" x14ac:dyDescent="0.25">
      <c r="E5" s="1" t="s">
        <v>130</v>
      </c>
      <c r="F5" s="5">
        <v>4086.1</v>
      </c>
      <c r="G5" s="4"/>
    </row>
    <row r="6" spans="5:7" ht="15.6" x14ac:dyDescent="0.25">
      <c r="E6" s="1" t="s">
        <v>109</v>
      </c>
      <c r="F6" s="5">
        <f>29321.27</f>
        <v>29321.27</v>
      </c>
      <c r="G6" s="4"/>
    </row>
    <row r="7" spans="5:7" ht="15.6" x14ac:dyDescent="0.25">
      <c r="E7" s="1" t="s">
        <v>106</v>
      </c>
      <c r="F7" s="5">
        <f>6777.46+1689.45</f>
        <v>8466.91</v>
      </c>
      <c r="G7" s="4"/>
    </row>
    <row r="8" spans="5:7" ht="15.6" x14ac:dyDescent="0.25">
      <c r="E8" s="1" t="s">
        <v>108</v>
      </c>
      <c r="F8" s="5">
        <f>3534.59+3657.28+1689.45</f>
        <v>8881.3200000000015</v>
      </c>
      <c r="G8" s="4"/>
    </row>
    <row r="9" spans="5:7" ht="15.6" x14ac:dyDescent="0.25">
      <c r="E9" s="1" t="s">
        <v>124</v>
      </c>
      <c r="F9" s="5">
        <f>8822.48+2046.95+1689.45</f>
        <v>12558.880000000001</v>
      </c>
      <c r="G9" s="4"/>
    </row>
    <row r="10" spans="5:7" ht="15.6" x14ac:dyDescent="0.25">
      <c r="E10" s="1" t="s">
        <v>5</v>
      </c>
      <c r="F10" s="5">
        <v>1630.24</v>
      </c>
      <c r="G10" s="15"/>
    </row>
    <row r="11" spans="5:7" ht="15.6" x14ac:dyDescent="0.25">
      <c r="E11" s="1" t="s">
        <v>123</v>
      </c>
      <c r="F11" s="41" t="s">
        <v>141</v>
      </c>
      <c r="G11" s="15"/>
    </row>
    <row r="12" spans="5:7" ht="15.6" x14ac:dyDescent="0.25">
      <c r="E12" s="1" t="s">
        <v>125</v>
      </c>
      <c r="F12" s="5">
        <f>1111.68+5875.65+3038.4+1537.62</f>
        <v>11563.349999999999</v>
      </c>
      <c r="G12" s="15"/>
    </row>
    <row r="13" spans="5:7" ht="15.6" x14ac:dyDescent="0.25">
      <c r="E13" s="1" t="s">
        <v>126</v>
      </c>
      <c r="F13" s="5">
        <f>1112.01+5876.67</f>
        <v>6988.68</v>
      </c>
      <c r="G13" s="15"/>
    </row>
    <row r="14" spans="5:7" ht="15.6" x14ac:dyDescent="0.25">
      <c r="E14" s="1" t="s">
        <v>127</v>
      </c>
      <c r="F14" s="5">
        <f>696.96+5877.14+3036.14+1537.62</f>
        <v>11147.86</v>
      </c>
      <c r="G14" s="15"/>
    </row>
    <row r="15" spans="5:7" ht="15.6" x14ac:dyDescent="0.3">
      <c r="E15" s="30" t="s">
        <v>128</v>
      </c>
      <c r="F15" s="32">
        <f>1111.68+5877.14+3036.14+1537.62</f>
        <v>11562.580000000002</v>
      </c>
      <c r="G15" s="15"/>
    </row>
    <row r="16" spans="5:7" ht="15.6" x14ac:dyDescent="0.25">
      <c r="E16" s="1" t="s">
        <v>129</v>
      </c>
      <c r="F16" s="41"/>
      <c r="G16" s="15"/>
    </row>
    <row r="17" spans="5:8" ht="15.6" x14ac:dyDescent="0.25">
      <c r="E17" s="20" t="s">
        <v>20</v>
      </c>
      <c r="F17" s="42"/>
      <c r="G17" s="6"/>
      <c r="H17" s="33"/>
    </row>
    <row r="18" spans="5:8" ht="15.6" x14ac:dyDescent="0.25">
      <c r="E18" s="49" t="s">
        <v>21</v>
      </c>
      <c r="F18" s="49"/>
      <c r="G18" s="49"/>
    </row>
    <row r="19" spans="5:8" ht="15.6" x14ac:dyDescent="0.25">
      <c r="E19" s="20" t="s">
        <v>22</v>
      </c>
      <c r="F19" s="42"/>
      <c r="G19" s="6"/>
    </row>
    <row r="20" spans="5:8" ht="15.6" x14ac:dyDescent="0.25">
      <c r="E20" s="49" t="s">
        <v>31</v>
      </c>
      <c r="F20" s="49"/>
      <c r="G20" s="49"/>
    </row>
    <row r="21" spans="5:8" ht="15.6" x14ac:dyDescent="0.25">
      <c r="E21" s="50" t="s">
        <v>27</v>
      </c>
      <c r="F21" s="51"/>
      <c r="G21" s="52"/>
    </row>
    <row r="22" spans="5:8" ht="15.6" x14ac:dyDescent="0.3">
      <c r="E22" s="10" t="s">
        <v>9</v>
      </c>
      <c r="F22" s="17">
        <v>6572.73</v>
      </c>
      <c r="G22" s="10"/>
    </row>
    <row r="23" spans="5:8" ht="15.6" x14ac:dyDescent="0.3">
      <c r="E23" s="10" t="s">
        <v>10</v>
      </c>
      <c r="F23" s="17">
        <v>2577</v>
      </c>
      <c r="G23" s="10"/>
    </row>
    <row r="24" spans="5:8" ht="15.6" x14ac:dyDescent="0.3">
      <c r="E24" s="10" t="s">
        <v>100</v>
      </c>
      <c r="F24" s="17">
        <v>805.77</v>
      </c>
      <c r="G24" s="10"/>
    </row>
    <row r="25" spans="5:8" ht="15.6" x14ac:dyDescent="0.3">
      <c r="E25" s="19" t="s">
        <v>101</v>
      </c>
      <c r="F25" s="13">
        <f>SUM(F22:F24)</f>
        <v>9955.5</v>
      </c>
      <c r="G25" s="10"/>
    </row>
    <row r="26" spans="5:8" ht="15.6" x14ac:dyDescent="0.3">
      <c r="E26" s="19" t="s">
        <v>132</v>
      </c>
      <c r="F26" s="13">
        <v>35388</v>
      </c>
      <c r="G26" s="10"/>
    </row>
    <row r="27" spans="5:8" ht="15.6" x14ac:dyDescent="0.25">
      <c r="E27" s="56" t="s">
        <v>26</v>
      </c>
      <c r="F27" s="56"/>
      <c r="G27" s="56"/>
    </row>
    <row r="28" spans="5:8" ht="15.6" x14ac:dyDescent="0.3">
      <c r="E28" s="10" t="s">
        <v>9</v>
      </c>
      <c r="F28" s="17">
        <f>26734.5</f>
        <v>26734.5</v>
      </c>
      <c r="G28" s="10"/>
    </row>
    <row r="29" spans="5:8" ht="15.6" x14ac:dyDescent="0.3">
      <c r="E29" s="10" t="s">
        <v>102</v>
      </c>
      <c r="F29" s="17">
        <f>1554+115-138</f>
        <v>1531</v>
      </c>
      <c r="G29" s="10"/>
    </row>
    <row r="30" spans="5:8" ht="15.6" x14ac:dyDescent="0.3">
      <c r="E30" s="38"/>
      <c r="F30" s="39"/>
      <c r="G30" s="10"/>
    </row>
    <row r="31" spans="5:8" ht="15.6" x14ac:dyDescent="0.3">
      <c r="E31" s="10" t="s">
        <v>85</v>
      </c>
      <c r="F31" s="17">
        <f>38.64+64.23+22.49+30.07</f>
        <v>155.43</v>
      </c>
      <c r="G31" s="10"/>
    </row>
    <row r="32" spans="5:8" ht="15.6" x14ac:dyDescent="0.3">
      <c r="E32" s="10" t="s">
        <v>23</v>
      </c>
      <c r="F32" s="17">
        <v>1600</v>
      </c>
      <c r="G32" s="10"/>
    </row>
    <row r="33" spans="1:7" ht="15.6" x14ac:dyDescent="0.3">
      <c r="E33" s="10" t="s">
        <v>103</v>
      </c>
      <c r="F33" s="17">
        <f>626.61+621.6</f>
        <v>1248.21</v>
      </c>
      <c r="G33" s="10"/>
    </row>
    <row r="34" spans="1:7" ht="15.6" x14ac:dyDescent="0.3">
      <c r="E34" s="10" t="s">
        <v>66</v>
      </c>
      <c r="F34" s="17">
        <v>674.5</v>
      </c>
      <c r="G34" s="10"/>
    </row>
    <row r="35" spans="1:7" ht="15.6" x14ac:dyDescent="0.3">
      <c r="E35" s="10" t="s">
        <v>104</v>
      </c>
      <c r="F35" s="39"/>
      <c r="G35" s="10"/>
    </row>
    <row r="36" spans="1:7" ht="15.6" x14ac:dyDescent="0.3">
      <c r="E36" s="19" t="s">
        <v>105</v>
      </c>
      <c r="F36" s="40"/>
      <c r="G36" s="10"/>
    </row>
    <row r="37" spans="1:7" ht="15.6" x14ac:dyDescent="0.3">
      <c r="E37" s="19" t="s">
        <v>131</v>
      </c>
      <c r="F37" s="40"/>
      <c r="G37" s="10"/>
    </row>
    <row r="38" spans="1:7" ht="15.6" x14ac:dyDescent="0.3">
      <c r="E38" s="22" t="s">
        <v>24</v>
      </c>
      <c r="F38" s="40"/>
      <c r="G38" s="10"/>
    </row>
    <row r="39" spans="1:7" ht="15.6" x14ac:dyDescent="0.3">
      <c r="E39" s="19" t="s">
        <v>48</v>
      </c>
      <c r="F39" s="40"/>
      <c r="G39" s="10"/>
    </row>
    <row r="42" spans="1:7" ht="15.6" x14ac:dyDescent="0.3">
      <c r="E42" s="34" t="s">
        <v>139</v>
      </c>
      <c r="F42" s="47">
        <v>463847</v>
      </c>
    </row>
    <row r="45" spans="1:7" ht="15.6" x14ac:dyDescent="0.3">
      <c r="A45" s="36"/>
      <c r="B45" s="37"/>
    </row>
  </sheetData>
  <mergeCells count="6">
    <mergeCell ref="E27:G27"/>
    <mergeCell ref="E1:G1"/>
    <mergeCell ref="E2:G2"/>
    <mergeCell ref="E18:G18"/>
    <mergeCell ref="E20:G20"/>
    <mergeCell ref="E21:G21"/>
  </mergeCells>
  <pageMargins left="0.7" right="0.7" top="0.75" bottom="0.75" header="0.3" footer="0.3"/>
  <pageSetup paperSize="9" scale="4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C43"/>
  <sheetViews>
    <sheetView rightToLeft="1" workbookViewId="0">
      <selection activeCell="G38" sqref="G38"/>
    </sheetView>
  </sheetViews>
  <sheetFormatPr defaultRowHeight="13.8" x14ac:dyDescent="0.25"/>
  <cols>
    <col min="1" max="1" width="34.8984375" bestFit="1" customWidth="1"/>
    <col min="2" max="2" width="24" customWidth="1"/>
    <col min="3" max="3" width="24.8984375" bestFit="1" customWidth="1"/>
    <col min="9" max="9" width="18.09765625" bestFit="1" customWidth="1"/>
    <col min="10" max="10" width="14.09765625" bestFit="1" customWidth="1"/>
  </cols>
  <sheetData>
    <row r="1" spans="1:3" ht="18" x14ac:dyDescent="0.35">
      <c r="A1" s="48" t="s">
        <v>53</v>
      </c>
      <c r="B1" s="48"/>
      <c r="C1" s="48"/>
    </row>
    <row r="2" spans="1:3" ht="15.6" x14ac:dyDescent="0.25">
      <c r="A2" s="49" t="s">
        <v>19</v>
      </c>
      <c r="B2" s="49"/>
      <c r="C2" s="49"/>
    </row>
    <row r="3" spans="1:3" ht="15.6" x14ac:dyDescent="0.25">
      <c r="A3" s="1" t="s">
        <v>0</v>
      </c>
      <c r="B3" s="2" t="s">
        <v>1</v>
      </c>
      <c r="C3" s="1" t="s">
        <v>2</v>
      </c>
    </row>
    <row r="4" spans="1:3" ht="31.2" x14ac:dyDescent="0.25">
      <c r="A4" s="1" t="s">
        <v>34</v>
      </c>
      <c r="B4" s="3">
        <v>0</v>
      </c>
      <c r="C4" s="4" t="s">
        <v>35</v>
      </c>
    </row>
    <row r="5" spans="1:3" ht="15.6" x14ac:dyDescent="0.25">
      <c r="A5" s="1" t="s">
        <v>45</v>
      </c>
      <c r="B5" s="5">
        <v>42493.26</v>
      </c>
      <c r="C5" s="4" t="s">
        <v>54</v>
      </c>
    </row>
    <row r="6" spans="1:3" ht="15.6" x14ac:dyDescent="0.25">
      <c r="A6" s="1" t="s">
        <v>47</v>
      </c>
      <c r="B6" s="5">
        <v>24832.51</v>
      </c>
      <c r="C6" s="4"/>
    </row>
    <row r="7" spans="1:3" ht="15.6" x14ac:dyDescent="0.25">
      <c r="A7" s="20" t="s">
        <v>20</v>
      </c>
      <c r="B7" s="11">
        <f>SUM(B4:B6)</f>
        <v>67325.77</v>
      </c>
      <c r="C7" s="6"/>
    </row>
    <row r="8" spans="1:3" ht="15.6" x14ac:dyDescent="0.25">
      <c r="A8" s="49" t="s">
        <v>21</v>
      </c>
      <c r="B8" s="49"/>
      <c r="C8" s="49"/>
    </row>
    <row r="9" spans="1:3" ht="15.6" x14ac:dyDescent="0.25">
      <c r="A9" s="20" t="s">
        <v>36</v>
      </c>
      <c r="B9" s="11">
        <v>118460.6</v>
      </c>
      <c r="C9" s="6"/>
    </row>
    <row r="10" spans="1:3" ht="15.6" x14ac:dyDescent="0.25">
      <c r="A10" s="49" t="s">
        <v>37</v>
      </c>
      <c r="B10" s="49"/>
      <c r="C10" s="49"/>
    </row>
    <row r="11" spans="1:3" ht="15.6" x14ac:dyDescent="0.25">
      <c r="A11" s="50" t="s">
        <v>38</v>
      </c>
      <c r="B11" s="51"/>
      <c r="C11" s="52"/>
    </row>
    <row r="12" spans="1:3" ht="15.6" x14ac:dyDescent="0.3">
      <c r="A12" s="10" t="s">
        <v>9</v>
      </c>
      <c r="B12" s="17">
        <f>1457.5+2557.5+112.5+1457.5+2557.5+112.5</f>
        <v>8255</v>
      </c>
      <c r="C12" s="10"/>
    </row>
    <row r="13" spans="1:3" ht="15.6" x14ac:dyDescent="0.3">
      <c r="A13" s="10" t="s">
        <v>16</v>
      </c>
      <c r="B13" s="17">
        <v>18752.580000000002</v>
      </c>
      <c r="C13" s="10"/>
    </row>
    <row r="14" spans="1:3" ht="15.6" x14ac:dyDescent="0.3">
      <c r="A14" s="10" t="s">
        <v>23</v>
      </c>
      <c r="B14" s="17">
        <v>1773.22</v>
      </c>
      <c r="C14" s="10"/>
    </row>
    <row r="15" spans="1:3" ht="15.6" x14ac:dyDescent="0.3">
      <c r="A15" s="10" t="s">
        <v>55</v>
      </c>
      <c r="B15" s="17">
        <f>39.01+209</f>
        <v>248.01</v>
      </c>
      <c r="C15" s="10"/>
    </row>
    <row r="16" spans="1:3" ht="15.6" x14ac:dyDescent="0.3">
      <c r="A16" s="10" t="s">
        <v>56</v>
      </c>
      <c r="B16" s="17">
        <v>268.06</v>
      </c>
      <c r="C16" s="10"/>
    </row>
    <row r="17" spans="1:3" ht="15.6" x14ac:dyDescent="0.3">
      <c r="A17" s="10" t="s">
        <v>57</v>
      </c>
      <c r="B17" s="17">
        <v>2836.94</v>
      </c>
      <c r="C17" s="10"/>
    </row>
    <row r="18" spans="1:3" ht="15.6" x14ac:dyDescent="0.3">
      <c r="A18" s="10" t="s">
        <v>58</v>
      </c>
      <c r="B18" s="17">
        <f>21.4+1154.66</f>
        <v>1176.0600000000002</v>
      </c>
      <c r="C18" s="10"/>
    </row>
    <row r="19" spans="1:3" ht="15.6" x14ac:dyDescent="0.3">
      <c r="A19" s="10" t="s">
        <v>59</v>
      </c>
      <c r="B19" s="17">
        <f>2376-156.34-97.48-482.5</f>
        <v>1639.6799999999998</v>
      </c>
      <c r="C19" s="10"/>
    </row>
    <row r="20" spans="1:3" ht="15.6" x14ac:dyDescent="0.3">
      <c r="A20" s="19" t="s">
        <v>44</v>
      </c>
      <c r="B20" s="13">
        <f>SUM(B12:B19)</f>
        <v>34949.550000000003</v>
      </c>
      <c r="C20" s="10"/>
    </row>
    <row r="21" spans="1:3" ht="15.6" x14ac:dyDescent="0.3">
      <c r="A21" s="24" t="s">
        <v>51</v>
      </c>
      <c r="B21" s="25">
        <v>98016</v>
      </c>
      <c r="C21" s="26"/>
    </row>
    <row r="22" spans="1:3" ht="15.6" x14ac:dyDescent="0.25">
      <c r="A22" s="50" t="s">
        <v>40</v>
      </c>
      <c r="B22" s="51"/>
      <c r="C22" s="52"/>
    </row>
    <row r="23" spans="1:3" ht="15.6" x14ac:dyDescent="0.3">
      <c r="A23" s="10" t="s">
        <v>9</v>
      </c>
      <c r="B23" s="17">
        <v>54719400</v>
      </c>
      <c r="C23" s="10"/>
    </row>
    <row r="24" spans="1:3" ht="15.6" x14ac:dyDescent="0.3">
      <c r="A24" s="10" t="s">
        <v>60</v>
      </c>
      <c r="B24" s="17">
        <f>5400000+15575000+28000000</f>
        <v>48975000</v>
      </c>
      <c r="C24" s="10"/>
    </row>
    <row r="25" spans="1:3" ht="15.6" x14ac:dyDescent="0.3">
      <c r="A25" s="10" t="s">
        <v>61</v>
      </c>
      <c r="B25" s="17">
        <v>2660000</v>
      </c>
      <c r="C25" s="10"/>
    </row>
    <row r="26" spans="1:3" ht="15.6" x14ac:dyDescent="0.3">
      <c r="A26" s="10" t="s">
        <v>62</v>
      </c>
      <c r="B26" s="17">
        <f>23560000</f>
        <v>23560000</v>
      </c>
      <c r="C26" s="10"/>
    </row>
    <row r="27" spans="1:3" ht="15.6" x14ac:dyDescent="0.3">
      <c r="A27" s="10" t="s">
        <v>63</v>
      </c>
      <c r="B27" s="17">
        <v>15000000</v>
      </c>
      <c r="C27" s="10"/>
    </row>
    <row r="28" spans="1:3" ht="15.6" x14ac:dyDescent="0.3">
      <c r="A28" s="10" t="s">
        <v>64</v>
      </c>
      <c r="B28" s="17">
        <v>16429000</v>
      </c>
      <c r="C28" s="10"/>
    </row>
    <row r="29" spans="1:3" ht="15.6" x14ac:dyDescent="0.3">
      <c r="A29" s="10" t="s">
        <v>65</v>
      </c>
      <c r="B29" s="17">
        <v>9000000</v>
      </c>
      <c r="C29" s="10"/>
    </row>
    <row r="30" spans="1:3" ht="15.6" x14ac:dyDescent="0.3">
      <c r="A30" s="10" t="s">
        <v>66</v>
      </c>
      <c r="B30" s="17">
        <v>33388362</v>
      </c>
      <c r="C30" s="10"/>
    </row>
    <row r="31" spans="1:3" ht="15.6" x14ac:dyDescent="0.3">
      <c r="A31" s="10" t="s">
        <v>67</v>
      </c>
      <c r="B31" s="17">
        <f>37648800+32886000+18824400</f>
        <v>89359200</v>
      </c>
      <c r="C31" s="10"/>
    </row>
    <row r="32" spans="1:3" ht="15.6" x14ac:dyDescent="0.3">
      <c r="A32" s="10" t="s">
        <v>68</v>
      </c>
      <c r="B32" s="17">
        <v>23133600</v>
      </c>
      <c r="C32" s="10"/>
    </row>
    <row r="33" spans="1:3" ht="15.6" x14ac:dyDescent="0.3">
      <c r="A33" s="10" t="s">
        <v>41</v>
      </c>
      <c r="B33" s="17">
        <v>2000000</v>
      </c>
      <c r="C33" s="10"/>
    </row>
    <row r="34" spans="1:3" ht="15.6" x14ac:dyDescent="0.3">
      <c r="A34" s="10" t="s">
        <v>69</v>
      </c>
      <c r="B34" s="17">
        <v>20700000</v>
      </c>
      <c r="C34" s="10"/>
    </row>
    <row r="35" spans="1:3" ht="15.6" x14ac:dyDescent="0.3">
      <c r="A35" s="10" t="s">
        <v>70</v>
      </c>
      <c r="B35" s="17">
        <v>25973187</v>
      </c>
      <c r="C35" s="10"/>
    </row>
    <row r="36" spans="1:3" ht="15.6" x14ac:dyDescent="0.3">
      <c r="A36" s="10" t="s">
        <v>71</v>
      </c>
      <c r="B36" s="17">
        <v>15085762</v>
      </c>
      <c r="C36" s="10"/>
    </row>
    <row r="37" spans="1:3" ht="15.6" x14ac:dyDescent="0.3">
      <c r="A37" s="10" t="s">
        <v>72</v>
      </c>
      <c r="B37" s="17">
        <v>1092220</v>
      </c>
      <c r="C37" s="10"/>
    </row>
    <row r="38" spans="1:3" ht="15.6" x14ac:dyDescent="0.3">
      <c r="A38" s="10" t="s">
        <v>73</v>
      </c>
      <c r="B38" s="17">
        <v>3446800</v>
      </c>
      <c r="C38" s="10"/>
    </row>
    <row r="39" spans="1:3" ht="15.6" x14ac:dyDescent="0.3">
      <c r="A39" s="10" t="s">
        <v>74</v>
      </c>
      <c r="B39" s="17">
        <v>2616348</v>
      </c>
      <c r="C39" s="23"/>
    </row>
    <row r="40" spans="1:3" ht="15.6" x14ac:dyDescent="0.3">
      <c r="A40" s="10" t="s">
        <v>75</v>
      </c>
      <c r="B40" s="17">
        <v>23061000</v>
      </c>
      <c r="C40" s="23"/>
    </row>
    <row r="41" spans="1:3" ht="15.6" x14ac:dyDescent="0.3">
      <c r="A41" s="27" t="s">
        <v>76</v>
      </c>
      <c r="B41" s="13">
        <f>SUM(B23:B40)</f>
        <v>410199879</v>
      </c>
      <c r="C41" s="23"/>
    </row>
    <row r="42" spans="1:3" ht="15.6" x14ac:dyDescent="0.3">
      <c r="A42" s="19" t="s">
        <v>52</v>
      </c>
      <c r="B42" s="13">
        <v>62029.82</v>
      </c>
      <c r="C42" s="23"/>
    </row>
    <row r="43" spans="1:3" ht="15.6" x14ac:dyDescent="0.3">
      <c r="A43" s="19" t="s">
        <v>50</v>
      </c>
      <c r="B43" s="13">
        <f>B42+B21</f>
        <v>160045.82</v>
      </c>
      <c r="C43" s="23"/>
    </row>
  </sheetData>
  <mergeCells count="6">
    <mergeCell ref="A22:C22"/>
    <mergeCell ref="A1:C1"/>
    <mergeCell ref="A2:C2"/>
    <mergeCell ref="A8:C8"/>
    <mergeCell ref="A10:C10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בריטניה</vt:lpstr>
      <vt:lpstr>ספרד</vt:lpstr>
      <vt:lpstr>הודו</vt:lpstr>
      <vt:lpstr>מרוקו</vt:lpstr>
      <vt:lpstr>ארה"ב</vt:lpstr>
      <vt:lpstr>ויטנאם וסינגפור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לינוי סמרלי</dc:creator>
  <cp:lastModifiedBy>User</cp:lastModifiedBy>
  <cp:lastPrinted>2024-08-21T04:29:13Z</cp:lastPrinted>
  <dcterms:created xsi:type="dcterms:W3CDTF">2024-03-12T10:22:27Z</dcterms:created>
  <dcterms:modified xsi:type="dcterms:W3CDTF">2025-05-13T08:13:21Z</dcterms:modified>
</cp:coreProperties>
</file>